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 codeName="ThisWorkbook"/>
  <xr:revisionPtr revIDLastSave="0" documentId="8_{4AF39FDF-485C-49F4-B0CB-0A4872F47675}" xr6:coauthVersionLast="47" xr6:coauthVersionMax="47" xr10:uidLastSave="{00000000-0000-0000-0000-000000000000}"/>
  <bookViews>
    <workbookView xWindow="0" yWindow="0" windowWidth="0" windowHeight="0" activeTab="1" xr2:uid="{00000000-000D-0000-FFFF-FFFF00000000}"/>
  </bookViews>
  <sheets>
    <sheet name="Guidelines" sheetId="1" r:id="rId1"/>
    <sheet name="Consolidated" sheetId="2" r:id="rId2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5" i="2" l="1"/>
  <c r="B100" i="2"/>
  <c r="B99" i="2"/>
  <c r="B98" i="2"/>
  <c r="B97" i="2"/>
  <c r="B96" i="2"/>
  <c r="B94" i="2"/>
  <c r="B93" i="2"/>
  <c r="B92" i="2"/>
  <c r="B91" i="2"/>
  <c r="B89" i="2"/>
  <c r="B88" i="2"/>
  <c r="B86" i="2"/>
  <c r="B85" i="2"/>
  <c r="B83" i="2"/>
  <c r="B82" i="2"/>
  <c r="B81" i="2"/>
  <c r="B78" i="2"/>
  <c r="B77" i="2"/>
  <c r="B76" i="2"/>
  <c r="B73" i="2"/>
  <c r="B71" i="2"/>
  <c r="B70" i="2"/>
  <c r="B67" i="2"/>
  <c r="B66" i="2"/>
  <c r="B64" i="2"/>
  <c r="B63" i="2"/>
  <c r="B62" i="2"/>
  <c r="B60" i="2"/>
  <c r="B58" i="2"/>
  <c r="B57" i="2"/>
  <c r="B55" i="2"/>
  <c r="B54" i="2"/>
  <c r="B53" i="2"/>
  <c r="B51" i="2"/>
  <c r="B50" i="2"/>
  <c r="B49" i="2"/>
  <c r="B48" i="2"/>
  <c r="B46" i="2"/>
  <c r="B45" i="2"/>
  <c r="B44" i="2"/>
  <c r="B42" i="2"/>
  <c r="B40" i="2"/>
  <c r="B39" i="2"/>
  <c r="B38" i="2"/>
  <c r="B34" i="2"/>
  <c r="B33" i="2"/>
  <c r="B32" i="2"/>
  <c r="B26" i="2"/>
  <c r="B24" i="2"/>
  <c r="B23" i="2"/>
  <c r="B22" i="2"/>
  <c r="B21" i="2"/>
  <c r="B20" i="2"/>
  <c r="B19" i="2"/>
  <c r="B18" i="2"/>
  <c r="B17" i="2"/>
  <c r="B15" i="2"/>
  <c r="B14" i="2"/>
  <c r="B12" i="2"/>
  <c r="B11" i="2"/>
  <c r="B10" i="2"/>
  <c r="B8" i="2"/>
  <c r="B7" i="2"/>
  <c r="B6" i="2"/>
  <c r="B5" i="2"/>
  <c r="B4" i="2"/>
  <c r="C106" i="2"/>
  <c r="C28" i="2"/>
</calcChain>
</file>

<file path=xl/sharedStrings.xml><?xml version="1.0" encoding="utf-8"?>
<sst xmlns="http://schemas.openxmlformats.org/spreadsheetml/2006/main" count="142" uniqueCount="130">
  <si>
    <t>Company name</t>
  </si>
  <si>
    <t>Aurora Free Library</t>
  </si>
  <si>
    <t>Budget name</t>
  </si>
  <si>
    <t>Budget_FY26_P&amp;L_1</t>
  </si>
  <si>
    <t>Budget type</t>
  </si>
  <si>
    <t>Profit and loss</t>
  </si>
  <si>
    <t>Period</t>
  </si>
  <si>
    <t>FY 2026 (Jan 2026 - Dec 2026)</t>
  </si>
  <si>
    <t>Follow these guidelines when you want to get your budget back to QuickBooks.</t>
  </si>
  <si>
    <t/>
  </si>
  <si>
    <t xml:space="preserve"> QuickBooks uses the budget details on this sheet to read budget type, timeline, categories, and so on. When you update this info and save the budget with a new name and budgeting period, you're creating a new budget.</t>
  </si>
  <si>
    <t>* Do not delete the guidelines sheet.</t>
  </si>
  <si>
    <t>* Do not change the sheet names.</t>
  </si>
  <si>
    <t>* Do not change the row or column labels. Rows with invalid entries will be ignored during upload.</t>
  </si>
  <si>
    <t>* Leave unwanted columns or rows blank. You can edit the budget in QuickBooks once the upload is complete.</t>
  </si>
  <si>
    <t>* Add columns only at the end and not in between.</t>
  </si>
  <si>
    <t>* You can add or remove rows as needed.</t>
  </si>
  <si>
    <t>* The accounts you see in the template are taken from the company chart of accounts to which you want to import your budget.</t>
  </si>
  <si>
    <t>* You can format the template, rename your budget, and add in numbers and formulas.</t>
  </si>
  <si>
    <t>* Enter cell values only between -99,999,999,999 and +99,999,999,999</t>
  </si>
  <si>
    <t>Accounts</t>
  </si>
  <si>
    <t>2025 totals</t>
  </si>
  <si>
    <t>2026 Budget</t>
  </si>
  <si>
    <t>Income</t>
  </si>
  <si>
    <t xml:space="preserve">   4100 - Cayuga County Funding</t>
  </si>
  <si>
    <t xml:space="preserve">   4105 - SCCS Tax</t>
  </si>
  <si>
    <t xml:space="preserve">   4110 - NYS Library Services Income</t>
  </si>
  <si>
    <t xml:space="preserve">   4111 - Village of Aurora Funding</t>
  </si>
  <si>
    <t xml:space="preserve">   4116 - Grant Income</t>
  </si>
  <si>
    <t xml:space="preserve">      Auburn Public Theater Regrants</t>
  </si>
  <si>
    <t xml:space="preserve">      NYS Library Construction Grant</t>
  </si>
  <si>
    <t xml:space="preserve">      Rosen Storytime Train</t>
  </si>
  <si>
    <t xml:space="preserve">      Take it on the Road</t>
  </si>
  <si>
    <t xml:space="preserve">   4122 - Cayuga Foundation</t>
  </si>
  <si>
    <t xml:space="preserve">   4128 - Fundraising Income</t>
  </si>
  <si>
    <t xml:space="preserve">      Annual Appeal</t>
  </si>
  <si>
    <t xml:space="preserve">      BLB</t>
  </si>
  <si>
    <t xml:space="preserve">         BLB- Silent Auction</t>
  </si>
  <si>
    <t xml:space="preserve">         BLB- Sponsors &amp; Donations</t>
  </si>
  <si>
    <t xml:space="preserve">         BLB-Ticket Sales</t>
  </si>
  <si>
    <t xml:space="preserve">      Book Sale</t>
  </si>
  <si>
    <t xml:space="preserve">      Community Dinner</t>
  </si>
  <si>
    <t xml:space="preserve">      Plant Sale</t>
  </si>
  <si>
    <t xml:space="preserve">   4210 - Donation</t>
  </si>
  <si>
    <t xml:space="preserve">      4211 - Program Donations</t>
  </si>
  <si>
    <t xml:space="preserve">   4220 - Misc. Income</t>
  </si>
  <si>
    <t xml:space="preserve"> </t>
  </si>
  <si>
    <t xml:space="preserve">   4225 - Interest Income</t>
  </si>
  <si>
    <t>*increase due to CD interest</t>
  </si>
  <si>
    <t xml:space="preserve">   Billable Expenditure Revenue</t>
  </si>
  <si>
    <t>Total Income</t>
  </si>
  <si>
    <t>Expense</t>
  </si>
  <si>
    <t xml:space="preserve">   60055 - Investment Fees</t>
  </si>
  <si>
    <t xml:space="preserve">   6076 - Grant Expense</t>
  </si>
  <si>
    <t xml:space="preserve">      Librarian Wages</t>
  </si>
  <si>
    <t xml:space="preserve">      Materials Expense</t>
  </si>
  <si>
    <t xml:space="preserve">      Outside Services</t>
  </si>
  <si>
    <t xml:space="preserve">      Presenter/Perfromer from Grants</t>
  </si>
  <si>
    <t xml:space="preserve">   6100 - Payroll &amp; Related Expenses</t>
  </si>
  <si>
    <t xml:space="preserve">      6005 - Librarian Wages</t>
  </si>
  <si>
    <t xml:space="preserve">         6015 - Library Director</t>
  </si>
  <si>
    <t>*combined total</t>
  </si>
  <si>
    <t xml:space="preserve">         6025 - Library Assistant Director</t>
  </si>
  <si>
    <t xml:space="preserve">         6035 - Other Staff</t>
  </si>
  <si>
    <t xml:space="preserve">      6104 - Employee Benefits</t>
  </si>
  <si>
    <t xml:space="preserve">         6109 - ST Disability</t>
  </si>
  <si>
    <t xml:space="preserve">         6124 - Payroll Taxes</t>
  </si>
  <si>
    <t xml:space="preserve">            6134 - Social Sec/Medicare</t>
  </si>
  <si>
    <t xml:space="preserve">         6149 - Workers Comp Ins.</t>
  </si>
  <si>
    <t xml:space="preserve">   6200 - Library Collection</t>
  </si>
  <si>
    <t xml:space="preserve">      6205 - Print Materials</t>
  </si>
  <si>
    <t xml:space="preserve">         6206 - Books</t>
  </si>
  <si>
    <t xml:space="preserve">         6207 - Magazine Subscriptions</t>
  </si>
  <si>
    <t xml:space="preserve">      6210 - E-Books</t>
  </si>
  <si>
    <t xml:space="preserve">      6215 - Other Materials (AV)</t>
  </si>
  <si>
    <t xml:space="preserve">   6300 - Maintenance &amp; Operations</t>
  </si>
  <si>
    <t xml:space="preserve">      6340 - Fire/Safety</t>
  </si>
  <si>
    <t xml:space="preserve">      6350 - Grounds &amp; Landscaping</t>
  </si>
  <si>
    <t xml:space="preserve">      6355 - Repair &amp; Maintenance Supplies</t>
  </si>
  <si>
    <t xml:space="preserve">      6360 - Utilities</t>
  </si>
  <si>
    <t xml:space="preserve">         6365 - Electric</t>
  </si>
  <si>
    <t xml:space="preserve">         6366 - Propane</t>
  </si>
  <si>
    <t xml:space="preserve">         6367 - Fuel Oil</t>
  </si>
  <si>
    <t xml:space="preserve">         6370 - Water</t>
  </si>
  <si>
    <t xml:space="preserve">   6345 - Insurance</t>
  </si>
  <si>
    <t xml:space="preserve">      6346 - Liability Umbrella Policy</t>
  </si>
  <si>
    <t xml:space="preserve">      6347 - Building &amp; Contents</t>
  </si>
  <si>
    <t xml:space="preserve">      6348 - Hired &amp; Non-Owned Auto Policy</t>
  </si>
  <si>
    <t xml:space="preserve">   6400 - Office &amp; Library Supplies</t>
  </si>
  <si>
    <t xml:space="preserve">      6410 - Furniture</t>
  </si>
  <si>
    <t xml:space="preserve">      6420 - Office Supplies</t>
  </si>
  <si>
    <t xml:space="preserve">      6425 - Cleaning Supplies</t>
  </si>
  <si>
    <t xml:space="preserve">   6500 - Telecommunications</t>
  </si>
  <si>
    <t xml:space="preserve">      6503 - Telephone-Local</t>
  </si>
  <si>
    <t xml:space="preserve">      6504 - Telephone-Long Distance</t>
  </si>
  <si>
    <t xml:space="preserve">      6505 - Internet</t>
  </si>
  <si>
    <t xml:space="preserve">   6515 - Postage &amp; Delivery</t>
  </si>
  <si>
    <t xml:space="preserve">   6525 - Contract Labor</t>
  </si>
  <si>
    <t xml:space="preserve">      6325 - Janitorial Services</t>
  </si>
  <si>
    <t xml:space="preserve">      6330 - Cleaning</t>
  </si>
  <si>
    <t xml:space="preserve">      6526 - Accounting Svc</t>
  </si>
  <si>
    <t xml:space="preserve">      6530 - Bookkeeper</t>
  </si>
  <si>
    <t xml:space="preserve">      Presenter/Performer</t>
  </si>
  <si>
    <t xml:space="preserve">      Professional Fees</t>
  </si>
  <si>
    <t xml:space="preserve">   6602 - Computer Equipment</t>
  </si>
  <si>
    <t xml:space="preserve">   6650 - Miscellaneous</t>
  </si>
  <si>
    <t xml:space="preserve">      6651 - Advertising</t>
  </si>
  <si>
    <t xml:space="preserve">      6654 - Dues &amp; Subscriptions</t>
  </si>
  <si>
    <t xml:space="preserve">      6657 - Program Expense</t>
  </si>
  <si>
    <t xml:space="preserve">         6658 - Summer Reading Program</t>
  </si>
  <si>
    <t xml:space="preserve">         Giving Tree Purchases</t>
  </si>
  <si>
    <t xml:space="preserve">      6666 - Employee/Volunteer Relations</t>
  </si>
  <si>
    <t xml:space="preserve">      6670 - Conferences</t>
  </si>
  <si>
    <t xml:space="preserve">      6671 - Travel</t>
  </si>
  <si>
    <t xml:space="preserve">      6672 - Website</t>
  </si>
  <si>
    <t xml:space="preserve">      6676 - Bank Fee/Paypal Fee</t>
  </si>
  <si>
    <t xml:space="preserve">      6678 - Fundraising Expense</t>
  </si>
  <si>
    <t xml:space="preserve">         Annual Appeal Expenses</t>
  </si>
  <si>
    <t xml:space="preserve">         Book Lovers' Ball</t>
  </si>
  <si>
    <t xml:space="preserve">            BLB - Fees</t>
  </si>
  <si>
    <t xml:space="preserve">            BLB - Misc Expenses</t>
  </si>
  <si>
    <t xml:space="preserve">            BLB- Entertainment</t>
  </si>
  <si>
    <t xml:space="preserve">            BLB- Facility Rental</t>
  </si>
  <si>
    <t xml:space="preserve">            BLB-Wine &amp; Beer</t>
  </si>
  <si>
    <t xml:space="preserve">         Christmas in Aurora Expenses</t>
  </si>
  <si>
    <t xml:space="preserve">      6695 - Uncategorized Expense</t>
  </si>
  <si>
    <t xml:space="preserve">      6696 - Cost of Retail</t>
  </si>
  <si>
    <t xml:space="preserve">      6697 - Purchases</t>
  </si>
  <si>
    <t xml:space="preserve">   6900 - Polaris Fee</t>
  </si>
  <si>
    <t>Total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</si>
</sst>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&quot;$&quot;* #,##0.00\ _€"/>
  </numFmts>
  <fonts count="6">
    <font>
      <sz val="12"/>
      <color theme="1"/>
      <name val="Calibri"/>
      <family val="2"/>
      <scheme val="minor"/>
    </font>
    <font>
      <b/>
      <sz val="8"/>
      <color indexed="8"/>
      <name val="Arial"/>
    </font>
    <font>
      <sz val="12"/>
      <color theme="1"/>
      <name val="Calibri"/>
      <scheme val="minor"/>
    </font>
    <font>
      <sz val="12"/>
      <color indexed="8"/>
      <name val="Calibri"/>
      <scheme val="minor"/>
    </font>
    <font>
      <b/>
      <sz val="12"/>
      <color indexed="8"/>
      <name val="Calibri"/>
      <scheme val="minor"/>
    </font>
    <font>
      <b/>
      <sz val="1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 applyNumberFormat="1"/>
    <xf numFmtId="166" fontId="1" fillId="0" borderId="1" xfId="0" applyNumberFormat="1" applyFont="1" applyBorder="1" applyAlignment="1">
      <alignment horizontal="right" wrapText="1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/>
    <xf numFmtId="0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wrapText="1"/>
    </xf>
    <xf numFmtId="0" fontId="4" fillId="0" borderId="1" xfId="0" applyNumberFormat="1" applyFont="1" applyBorder="1" applyAlignment="1">
      <alignment horizontal="right" wrapText="1"/>
    </xf>
    <xf numFmtId="0" fontId="5" fillId="0" borderId="0" xfId="0" applyNumberFormat="1" applyFont="1"/>
    <xf numFmtId="0" fontId="3" fillId="0" borderId="0" xfId="0" applyNumberFormat="1" applyFont="1" applyAlignment="1">
      <alignment horizontal="right"/>
    </xf>
    <xf numFmtId="0" fontId="4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"/>
  <sheetViews>
    <sheetView workbookViewId="0"/>
  </sheetViews>
  <sheetFormatPr defaultRowHeight="15"/>
  <cols>
    <col min="1" max="1" width="13.875" customWidth="1"/>
    <col min="2" max="2" width="30.875" customWidth="1"/>
  </cols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">
        <v>5</v>
      </c>
    </row>
    <row r="4" spans="1:2">
      <c r="A4" t="s">
        <v>6</v>
      </c>
      <c r="B4" t="s">
        <v>7</v>
      </c>
    </row>
    <row r="8" spans="1:2">
      <c r="B8" t="s">
        <v>8</v>
      </c>
    </row>
    <row r="9" spans="1:2">
      <c r="B9" t="s">
        <v>9</v>
      </c>
    </row>
    <row r="10" spans="1:2">
      <c r="B10" t="s">
        <v>10</v>
      </c>
    </row>
    <row r="11" spans="1:2">
      <c r="B11" t="s">
        <v>11</v>
      </c>
    </row>
    <row r="12" spans="1:2">
      <c r="B12" t="s">
        <v>12</v>
      </c>
    </row>
    <row r="13" spans="1:2">
      <c r="B13" t="s">
        <v>13</v>
      </c>
    </row>
    <row r="14" spans="1:2">
      <c r="B14" t="s">
        <v>14</v>
      </c>
    </row>
    <row r="15" spans="1:2">
      <c r="B15" t="s">
        <v>15</v>
      </c>
    </row>
    <row r="16" spans="1:2">
      <c r="B16" t="s">
        <v>16</v>
      </c>
    </row>
    <row r="17" spans="2:2">
      <c r="B17" t="s">
        <v>17</v>
      </c>
    </row>
    <row r="18" spans="2:2">
      <c r="B18" t="s">
        <v>18</v>
      </c>
    </row>
    <row r="19" spans="2:2">
      <c r="B19" t="s">
        <v>19</v>
      </c>
    </row>
  </sheetData>
  <pageMargins left="0" right="0" top="0" bottom="0" header="0" footer="0"/>
  <ignoredErrors>
    <ignoredError sqref="A1:B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3"/>
  <sheetViews>
    <sheetView tabSelected="1" workbookViewId="0">
      <selection activeCell="A5" sqref="A5"/>
    </sheetView>
  </sheetViews>
  <sheetFormatPr defaultRowHeight="15"/>
  <cols>
    <col min="1" max="1" width="43.875" customWidth="1"/>
    <col min="2" max="2" width="17.75" customWidth="1"/>
    <col min="3" max="3" width="16.125" bestFit="1" customWidth="1"/>
    <col min="4" max="4" width="23.75" bestFit="1" customWidth="1"/>
  </cols>
  <sheetData>
    <row r="1" spans="1:3">
      <c r="A1" t="s">
        <v>1</v>
      </c>
    </row>
    <row r="2" spans="1:3" ht="15.75">
      <c r="A2" t="s">
        <v>20</v>
      </c>
      <c r="B2" s="2" t="s">
        <v>21</v>
      </c>
      <c r="C2" s="2" t="s">
        <v>22</v>
      </c>
    </row>
    <row r="3" spans="1:3" ht="15.75">
      <c r="A3" t="s">
        <v>23</v>
      </c>
      <c r="B3" s="3"/>
      <c r="C3" s="3"/>
    </row>
    <row r="4" spans="1:3" ht="15.75">
      <c r="A4" t="s">
        <v>24</v>
      </c>
      <c r="B4" s="4">
        <f>3500</f>
        <v>3500</v>
      </c>
      <c r="C4" s="3">
        <v>3500.0000000000005</v>
      </c>
    </row>
    <row r="5" spans="1:3" ht="15.75">
      <c r="A5" t="s">
        <v>25</v>
      </c>
      <c r="B5" s="4">
        <f>92500</f>
        <v>92500</v>
      </c>
      <c r="C5" s="3">
        <v>100000</v>
      </c>
    </row>
    <row r="6" spans="1:3" ht="15.75">
      <c r="A6" t="s">
        <v>26</v>
      </c>
      <c r="B6" s="4">
        <f>1376</f>
        <v>1376</v>
      </c>
      <c r="C6" s="3">
        <v>1450</v>
      </c>
    </row>
    <row r="7" spans="1:3" ht="15.75">
      <c r="A7" t="s">
        <v>27</v>
      </c>
      <c r="B7" s="4">
        <f>2500</f>
        <v>2500</v>
      </c>
      <c r="C7" s="3">
        <v>0</v>
      </c>
    </row>
    <row r="8" spans="1:3" ht="15.75">
      <c r="A8" t="s">
        <v>28</v>
      </c>
      <c r="B8" s="4">
        <f>9607.8</f>
        <v>9607.7999999999993</v>
      </c>
      <c r="C8" s="3">
        <v>5325</v>
      </c>
    </row>
    <row r="9" spans="1:3" ht="15.75">
      <c r="A9" t="s">
        <v>29</v>
      </c>
      <c r="B9" s="5"/>
      <c r="C9" s="3">
        <v>1250</v>
      </c>
    </row>
    <row r="10" spans="1:3" ht="15.75">
      <c r="A10" t="s">
        <v>30</v>
      </c>
      <c r="B10" s="4">
        <f>0</f>
        <v>0</v>
      </c>
      <c r="C10" s="3"/>
    </row>
    <row r="11" spans="1:3" ht="15.75">
      <c r="A11" t="s">
        <v>31</v>
      </c>
      <c r="B11" s="4">
        <f>3450</f>
        <v>3450</v>
      </c>
      <c r="C11" s="3">
        <v>3450</v>
      </c>
    </row>
    <row r="12" spans="1:3" ht="15.75">
      <c r="A12" t="s">
        <v>32</v>
      </c>
      <c r="B12" s="4">
        <f>6126</f>
        <v>6126</v>
      </c>
      <c r="C12" s="3">
        <v>6126</v>
      </c>
    </row>
    <row r="13" spans="1:3" ht="15.75">
      <c r="A13" t="s">
        <v>33</v>
      </c>
      <c r="B13" s="6"/>
      <c r="C13" s="3"/>
    </row>
    <row r="14" spans="1:3" ht="15.75">
      <c r="A14" t="s">
        <v>34</v>
      </c>
      <c r="B14" s="4">
        <f>423</f>
        <v>423</v>
      </c>
      <c r="C14" s="3">
        <v>0</v>
      </c>
    </row>
    <row r="15" spans="1:3" ht="15.75">
      <c r="A15" t="s">
        <v>35</v>
      </c>
      <c r="B15" s="4">
        <f>11460</f>
        <v>11460</v>
      </c>
      <c r="C15" s="3">
        <v>6500</v>
      </c>
    </row>
    <row r="16" spans="1:3" ht="15.75">
      <c r="A16" t="s">
        <v>36</v>
      </c>
      <c r="B16" s="5"/>
      <c r="C16" s="3"/>
    </row>
    <row r="17" spans="1:4" ht="15.75">
      <c r="A17" t="s">
        <v>37</v>
      </c>
      <c r="B17" s="4">
        <f>9077.17</f>
        <v>9077.17</v>
      </c>
      <c r="C17" s="3">
        <v>8500</v>
      </c>
    </row>
    <row r="18" spans="1:4" ht="15.75">
      <c r="A18" t="s">
        <v>38</v>
      </c>
      <c r="B18" s="4">
        <f>17825</f>
        <v>17825</v>
      </c>
      <c r="C18" s="3">
        <v>20000.000000000004</v>
      </c>
    </row>
    <row r="19" spans="1:4" ht="15.75">
      <c r="A19" t="s">
        <v>39</v>
      </c>
      <c r="B19" s="4">
        <f>11653.99</f>
        <v>11653.99</v>
      </c>
      <c r="C19" s="3">
        <v>10000.000000000002</v>
      </c>
    </row>
    <row r="20" spans="1:4" ht="15.75">
      <c r="A20" t="s">
        <v>40</v>
      </c>
      <c r="B20" s="4">
        <f>2002.75</f>
        <v>2002.75</v>
      </c>
      <c r="C20" s="3">
        <v>2000</v>
      </c>
    </row>
    <row r="21" spans="1:4" ht="15.75">
      <c r="A21" t="s">
        <v>41</v>
      </c>
      <c r="B21" s="4">
        <f>872</f>
        <v>872</v>
      </c>
      <c r="C21" s="3">
        <v>650</v>
      </c>
    </row>
    <row r="22" spans="1:4" ht="15.75">
      <c r="A22" t="s">
        <v>42</v>
      </c>
      <c r="B22" s="4">
        <f>818</f>
        <v>818</v>
      </c>
      <c r="C22" s="3">
        <v>799.99999999999989</v>
      </c>
    </row>
    <row r="23" spans="1:4" ht="15.75">
      <c r="A23" t="s">
        <v>43</v>
      </c>
      <c r="B23" s="4">
        <f>13087.3</f>
        <v>13087.3</v>
      </c>
      <c r="C23" s="3">
        <v>8400</v>
      </c>
    </row>
    <row r="24" spans="1:4" ht="15.75">
      <c r="A24" t="s">
        <v>44</v>
      </c>
      <c r="B24" s="8">
        <f>361</f>
        <v>361</v>
      </c>
      <c r="C24" s="3">
        <v>300</v>
      </c>
    </row>
    <row r="25" spans="1:4" ht="16.5">
      <c r="A25" t="s">
        <v>45</v>
      </c>
      <c r="B25" s="6" t="s">
        <v>46</v>
      </c>
      <c r="C25" s="3"/>
    </row>
    <row r="26" spans="1:4" ht="15.75">
      <c r="A26" t="s">
        <v>47</v>
      </c>
      <c r="B26" s="8">
        <f>699.2</f>
        <v>699.2</v>
      </c>
      <c r="C26" s="3">
        <v>3000</v>
      </c>
      <c r="D26" t="s">
        <v>48</v>
      </c>
    </row>
    <row r="27" spans="1:4" ht="16.5">
      <c r="A27" t="s">
        <v>49</v>
      </c>
      <c r="B27" s="6" t="s">
        <v>46</v>
      </c>
      <c r="C27" s="3"/>
    </row>
    <row r="28" spans="1:4" ht="15.75">
      <c r="A28" t="s">
        <v>50</v>
      </c>
      <c r="B28" s="9">
        <v>187416.26</v>
      </c>
      <c r="C28" s="7">
        <f>SUM(C3:C27)</f>
        <v>181251</v>
      </c>
    </row>
    <row r="29" spans="1:4" ht="15.75">
      <c r="A29" t="s">
        <v>51</v>
      </c>
      <c r="B29" s="3"/>
      <c r="C29" s="3"/>
    </row>
    <row r="30" spans="1:4" ht="15.75">
      <c r="A30" t="s">
        <v>52</v>
      </c>
      <c r="B30" s="3"/>
      <c r="C30" s="3"/>
    </row>
    <row r="31" spans="1:4" ht="15.75">
      <c r="A31" t="s">
        <v>53</v>
      </c>
      <c r="B31" s="3"/>
      <c r="C31" s="3"/>
    </row>
    <row r="32" spans="1:4" ht="15.75">
      <c r="A32" t="s">
        <v>54</v>
      </c>
      <c r="B32" s="4">
        <f>6259.31</f>
        <v>6259.31</v>
      </c>
      <c r="C32" s="3">
        <v>4401</v>
      </c>
    </row>
    <row r="33" spans="1:4" ht="15.75">
      <c r="A33" t="s">
        <v>55</v>
      </c>
      <c r="B33" s="4">
        <f>6574.22</f>
        <v>6574.22</v>
      </c>
      <c r="C33" s="3">
        <v>6750</v>
      </c>
    </row>
    <row r="34" spans="1:4" ht="15.75">
      <c r="A34" t="s">
        <v>56</v>
      </c>
      <c r="B34" s="4">
        <f>5395.5</f>
        <v>5395.5</v>
      </c>
      <c r="C34" s="3">
        <v>5000</v>
      </c>
    </row>
    <row r="35" spans="1:4" ht="16.5">
      <c r="A35" t="s">
        <v>57</v>
      </c>
      <c r="B35" s="6" t="s">
        <v>46</v>
      </c>
      <c r="C35" s="3"/>
    </row>
    <row r="36" spans="1:4" ht="15.75">
      <c r="A36" t="s">
        <v>58</v>
      </c>
      <c r="B36" s="5"/>
      <c r="C36" s="3"/>
    </row>
    <row r="37" spans="1:4" ht="15.75">
      <c r="A37" t="s">
        <v>59</v>
      </c>
      <c r="B37" s="5"/>
      <c r="C37" s="3"/>
    </row>
    <row r="38" spans="1:4" ht="15.75">
      <c r="A38" t="s">
        <v>60</v>
      </c>
      <c r="B38" s="4">
        <f>45599.09</f>
        <v>45599.09</v>
      </c>
      <c r="C38" s="3">
        <v>75000</v>
      </c>
      <c r="D38" t="s">
        <v>61</v>
      </c>
    </row>
    <row r="39" spans="1:4" ht="15.75">
      <c r="A39" t="s">
        <v>62</v>
      </c>
      <c r="B39" s="4">
        <f>19264.25</f>
        <v>19264.25</v>
      </c>
      <c r="C39" s="3" t="s">
        <v>46</v>
      </c>
    </row>
    <row r="40" spans="1:4" ht="15.75">
      <c r="A40" t="s">
        <v>63</v>
      </c>
      <c r="B40" s="4">
        <f>2035.75</f>
        <v>2035.75</v>
      </c>
      <c r="C40" s="3"/>
    </row>
    <row r="41" spans="1:4" ht="15.75">
      <c r="A41" t="s">
        <v>64</v>
      </c>
      <c r="B41" s="5"/>
      <c r="C41" s="3"/>
    </row>
    <row r="42" spans="1:4" ht="15.75">
      <c r="A42" t="s">
        <v>65</v>
      </c>
      <c r="B42" s="4">
        <f>484.76</f>
        <v>484.76</v>
      </c>
      <c r="C42" s="3">
        <v>500.00000000000011</v>
      </c>
    </row>
    <row r="43" spans="1:4" ht="15.75">
      <c r="A43" t="s">
        <v>66</v>
      </c>
      <c r="B43" s="5"/>
      <c r="C43" s="3"/>
    </row>
    <row r="44" spans="1:4" ht="15.75">
      <c r="A44" t="s">
        <v>67</v>
      </c>
      <c r="B44" s="4">
        <f>5596.6</f>
        <v>5596.6</v>
      </c>
      <c r="C44" s="3">
        <v>6000</v>
      </c>
    </row>
    <row r="45" spans="1:4" ht="15.75">
      <c r="A45" t="s">
        <v>68</v>
      </c>
      <c r="B45" s="4">
        <f>329.6</f>
        <v>329.6</v>
      </c>
      <c r="C45" s="3">
        <v>500.00000000000011</v>
      </c>
    </row>
    <row r="46" spans="1:4" ht="15.75">
      <c r="A46" t="s">
        <v>69</v>
      </c>
      <c r="B46" s="4">
        <f>180</f>
        <v>180</v>
      </c>
      <c r="C46" s="3">
        <v>200.00000000000006</v>
      </c>
    </row>
    <row r="47" spans="1:4" ht="15.75">
      <c r="A47" t="s">
        <v>70</v>
      </c>
      <c r="B47" s="5"/>
      <c r="C47" s="3"/>
    </row>
    <row r="48" spans="1:4" ht="15.75">
      <c r="A48" t="s">
        <v>71</v>
      </c>
      <c r="B48" s="4">
        <f>6626.51</f>
        <v>6626.51</v>
      </c>
      <c r="C48" s="3">
        <v>7000</v>
      </c>
    </row>
    <row r="49" spans="1:3" ht="15.75">
      <c r="A49" t="s">
        <v>72</v>
      </c>
      <c r="B49" s="4">
        <f>35</f>
        <v>35</v>
      </c>
      <c r="C49" s="3">
        <v>50.000000000000014</v>
      </c>
    </row>
    <row r="50" spans="1:3" ht="15.75">
      <c r="A50" t="s">
        <v>73</v>
      </c>
      <c r="B50" s="4">
        <f>2000</f>
        <v>2000</v>
      </c>
      <c r="C50" s="3">
        <v>2000</v>
      </c>
    </row>
    <row r="51" spans="1:3" ht="15.75">
      <c r="A51" t="s">
        <v>74</v>
      </c>
      <c r="B51" s="4">
        <f>1827.93</f>
        <v>1827.93</v>
      </c>
      <c r="C51" s="3">
        <v>1000.0000000000001</v>
      </c>
    </row>
    <row r="52" spans="1:3" ht="16.5">
      <c r="A52" t="s">
        <v>75</v>
      </c>
      <c r="B52" s="6" t="s">
        <v>46</v>
      </c>
      <c r="C52" s="3"/>
    </row>
    <row r="53" spans="1:3" ht="15.75">
      <c r="A53" t="s">
        <v>76</v>
      </c>
      <c r="B53" s="4">
        <f>801</f>
        <v>801</v>
      </c>
      <c r="C53" s="3">
        <v>799.99999999999989</v>
      </c>
    </row>
    <row r="54" spans="1:3" ht="15.75">
      <c r="A54" t="s">
        <v>77</v>
      </c>
      <c r="B54" s="4">
        <f>887.92</f>
        <v>887.92</v>
      </c>
      <c r="C54" s="3">
        <v>1000.0000000000001</v>
      </c>
    </row>
    <row r="55" spans="1:3" ht="15.75">
      <c r="A55" t="s">
        <v>78</v>
      </c>
      <c r="B55" s="4">
        <f>1666.71</f>
        <v>1666.71</v>
      </c>
      <c r="C55" s="3">
        <v>10000.000000000002</v>
      </c>
    </row>
    <row r="56" spans="1:3" ht="15.75">
      <c r="A56" t="s">
        <v>79</v>
      </c>
      <c r="B56" s="5"/>
      <c r="C56" s="3"/>
    </row>
    <row r="57" spans="1:3" ht="15.75">
      <c r="A57" t="s">
        <v>80</v>
      </c>
      <c r="B57" s="4">
        <f>4507.37</f>
        <v>4507.37</v>
      </c>
      <c r="C57" s="3">
        <v>5000</v>
      </c>
    </row>
    <row r="58" spans="1:3" ht="15.75">
      <c r="A58" t="s">
        <v>81</v>
      </c>
      <c r="B58" s="4">
        <f>3533.11</f>
        <v>3533.11</v>
      </c>
      <c r="C58" s="3">
        <v>2499.9999999999995</v>
      </c>
    </row>
    <row r="59" spans="1:3" ht="15.75">
      <c r="A59" t="s">
        <v>82</v>
      </c>
      <c r="B59" s="3"/>
      <c r="C59" s="3"/>
    </row>
    <row r="60" spans="1:3" ht="15.75">
      <c r="A60" t="s">
        <v>83</v>
      </c>
      <c r="B60" s="4">
        <f>1078.35</f>
        <v>1078.3499999999999</v>
      </c>
      <c r="C60" s="3">
        <v>2499.9999999999995</v>
      </c>
    </row>
    <row r="61" spans="1:3" ht="15.75">
      <c r="A61" t="s">
        <v>84</v>
      </c>
      <c r="B61" s="4">
        <v>590.55999999999995</v>
      </c>
      <c r="C61" s="3"/>
    </row>
    <row r="62" spans="1:3" ht="15.75">
      <c r="A62" t="s">
        <v>85</v>
      </c>
      <c r="B62" s="4">
        <f>939</f>
        <v>939</v>
      </c>
      <c r="C62" s="3">
        <v>1000.0000000000001</v>
      </c>
    </row>
    <row r="63" spans="1:3" ht="15.75">
      <c r="A63" t="s">
        <v>86</v>
      </c>
      <c r="B63" s="4">
        <f>4450.03</f>
        <v>4450.03</v>
      </c>
      <c r="C63" s="3">
        <v>4500</v>
      </c>
    </row>
    <row r="64" spans="1:3" ht="15.75">
      <c r="A64" t="s">
        <v>87</v>
      </c>
      <c r="B64" s="4">
        <f>200</f>
        <v>200</v>
      </c>
      <c r="C64" s="3">
        <v>249.99999999999994</v>
      </c>
    </row>
    <row r="65" spans="1:3" ht="16.5">
      <c r="A65" t="s">
        <v>88</v>
      </c>
      <c r="B65" s="6" t="s">
        <v>46</v>
      </c>
      <c r="C65" s="3"/>
    </row>
    <row r="66" spans="1:3" ht="15.75">
      <c r="A66" t="s">
        <v>89</v>
      </c>
      <c r="B66" s="4">
        <f>67.36</f>
        <v>67.36</v>
      </c>
      <c r="C66" s="3">
        <v>500.00000000000011</v>
      </c>
    </row>
    <row r="67" spans="1:3" ht="15.75">
      <c r="A67" t="s">
        <v>90</v>
      </c>
      <c r="B67" s="4">
        <f>585.32</f>
        <v>585.32000000000005</v>
      </c>
      <c r="C67" s="3">
        <v>700</v>
      </c>
    </row>
    <row r="68" spans="1:3" ht="15.75">
      <c r="A68" t="s">
        <v>91</v>
      </c>
      <c r="B68" s="5"/>
      <c r="C68" s="3">
        <v>100</v>
      </c>
    </row>
    <row r="69" spans="1:3" ht="16.5">
      <c r="A69" t="s">
        <v>92</v>
      </c>
      <c r="B69" s="6" t="s">
        <v>46</v>
      </c>
      <c r="C69" s="3"/>
    </row>
    <row r="70" spans="1:3" ht="15.75">
      <c r="A70" t="s">
        <v>93</v>
      </c>
      <c r="B70" s="4">
        <f>478.37</f>
        <v>478.37</v>
      </c>
      <c r="C70" s="3">
        <v>450</v>
      </c>
    </row>
    <row r="71" spans="1:3" ht="15.75">
      <c r="A71" t="s">
        <v>94</v>
      </c>
      <c r="B71" s="4">
        <f>530.84</f>
        <v>530.84</v>
      </c>
      <c r="C71" s="3">
        <v>450</v>
      </c>
    </row>
    <row r="72" spans="1:3" ht="16.5">
      <c r="A72" t="s">
        <v>95</v>
      </c>
      <c r="B72" s="6" t="s">
        <v>46</v>
      </c>
      <c r="C72" s="3">
        <v>300</v>
      </c>
    </row>
    <row r="73" spans="1:3" ht="15.75">
      <c r="A73" t="s">
        <v>96</v>
      </c>
      <c r="B73" s="4">
        <f>306.2</f>
        <v>306.2</v>
      </c>
      <c r="C73" s="3">
        <v>300</v>
      </c>
    </row>
    <row r="74" spans="1:3" ht="15.75">
      <c r="A74" t="s">
        <v>97</v>
      </c>
      <c r="B74" s="4"/>
      <c r="C74" s="3"/>
    </row>
    <row r="75" spans="1:3" ht="15.75">
      <c r="A75" t="s">
        <v>98</v>
      </c>
      <c r="B75" s="5"/>
      <c r="C75" s="3"/>
    </row>
    <row r="76" spans="1:3" ht="15.75">
      <c r="A76" t="s">
        <v>99</v>
      </c>
      <c r="B76" s="4">
        <f>2625</f>
        <v>2625</v>
      </c>
      <c r="C76" s="3">
        <v>2250</v>
      </c>
    </row>
    <row r="77" spans="1:3" ht="15.75">
      <c r="A77" t="s">
        <v>100</v>
      </c>
      <c r="B77" s="4">
        <f>4905.04</f>
        <v>4905.04</v>
      </c>
      <c r="C77" s="3">
        <v>2499.9999999999995</v>
      </c>
    </row>
    <row r="78" spans="1:3" ht="15.75">
      <c r="A78" t="s">
        <v>101</v>
      </c>
      <c r="B78" s="4">
        <f>4893.75</f>
        <v>4893.75</v>
      </c>
      <c r="C78" s="3">
        <v>5000</v>
      </c>
    </row>
    <row r="79" spans="1:3" ht="15.75">
      <c r="A79" t="s">
        <v>102</v>
      </c>
      <c r="B79" s="3"/>
      <c r="C79" s="3"/>
    </row>
    <row r="80" spans="1:3" ht="15.75">
      <c r="A80" t="s">
        <v>103</v>
      </c>
      <c r="B80" s="3"/>
      <c r="C80" s="3"/>
    </row>
    <row r="81" spans="1:3" ht="15.75">
      <c r="A81" t="s">
        <v>104</v>
      </c>
      <c r="B81" s="4">
        <f>1186.74</f>
        <v>1186.74</v>
      </c>
      <c r="C81" s="3">
        <v>1000.0000000000001</v>
      </c>
    </row>
    <row r="82" spans="1:3" ht="15.75">
      <c r="A82" t="s">
        <v>105</v>
      </c>
      <c r="B82" s="4">
        <f>0</f>
        <v>0</v>
      </c>
      <c r="C82" s="3"/>
    </row>
    <row r="83" spans="1:3" ht="15.75">
      <c r="A83" t="s">
        <v>106</v>
      </c>
      <c r="B83" s="4">
        <f>170.38</f>
        <v>170.38</v>
      </c>
      <c r="C83" s="3">
        <v>200.00000000000006</v>
      </c>
    </row>
    <row r="84" spans="1:3" ht="15.75">
      <c r="A84" t="s">
        <v>107</v>
      </c>
      <c r="B84" s="4"/>
      <c r="C84" s="3">
        <v>750</v>
      </c>
    </row>
    <row r="85" spans="1:3" ht="15.75">
      <c r="A85" t="s">
        <v>108</v>
      </c>
      <c r="B85" s="4">
        <f>865</f>
        <v>865</v>
      </c>
      <c r="C85" s="3">
        <v>1000.0000000000001</v>
      </c>
    </row>
    <row r="86" spans="1:3" ht="15.75">
      <c r="A86" t="s">
        <v>109</v>
      </c>
      <c r="B86" s="4">
        <f>310.5</f>
        <v>310.5</v>
      </c>
      <c r="C86" s="3">
        <v>350.00000000000011</v>
      </c>
    </row>
    <row r="87" spans="1:3" ht="16.5">
      <c r="A87" t="s">
        <v>110</v>
      </c>
      <c r="B87" s="6" t="s">
        <v>46</v>
      </c>
      <c r="C87" s="3"/>
    </row>
    <row r="88" spans="1:3" ht="15.75">
      <c r="A88" t="s">
        <v>111</v>
      </c>
      <c r="B88" s="4">
        <f>917.25</f>
        <v>917.25</v>
      </c>
      <c r="C88" s="3">
        <v>300</v>
      </c>
    </row>
    <row r="89" spans="1:3" ht="15.75">
      <c r="A89" t="s">
        <v>112</v>
      </c>
      <c r="B89" s="4">
        <f>50</f>
        <v>50</v>
      </c>
      <c r="C89" s="3">
        <v>1000.0000000000001</v>
      </c>
    </row>
    <row r="90" spans="1:3" ht="15.75">
      <c r="A90" t="s">
        <v>113</v>
      </c>
      <c r="B90" s="4"/>
      <c r="C90" s="3"/>
    </row>
    <row r="91" spans="1:3" ht="15.75">
      <c r="A91" t="s">
        <v>114</v>
      </c>
      <c r="B91" s="4">
        <f>663.32</f>
        <v>663.32</v>
      </c>
      <c r="C91" s="3">
        <v>750</v>
      </c>
    </row>
    <row r="92" spans="1:3" ht="15.75">
      <c r="A92" t="s">
        <v>115</v>
      </c>
      <c r="B92" s="4">
        <f>92.01</f>
        <v>92.01</v>
      </c>
      <c r="C92" s="3">
        <v>100</v>
      </c>
    </row>
    <row r="93" spans="1:3" ht="15.75">
      <c r="A93" t="s">
        <v>116</v>
      </c>
      <c r="B93" s="4">
        <f>100</f>
        <v>100</v>
      </c>
      <c r="C93" s="3">
        <v>750</v>
      </c>
    </row>
    <row r="94" spans="1:3" ht="15.75">
      <c r="A94" t="s">
        <v>117</v>
      </c>
      <c r="B94" s="4">
        <f>585.29</f>
        <v>585.29</v>
      </c>
      <c r="C94" s="3">
        <v>750</v>
      </c>
    </row>
    <row r="95" spans="1:3" ht="15.75">
      <c r="A95" t="s">
        <v>118</v>
      </c>
      <c r="B95" s="5"/>
      <c r="C95" s="3"/>
    </row>
    <row r="96" spans="1:3" ht="15.75">
      <c r="A96" t="s">
        <v>119</v>
      </c>
      <c r="B96" s="4">
        <f>209.9</f>
        <v>209.9</v>
      </c>
      <c r="C96" s="3">
        <v>200.00000000000006</v>
      </c>
    </row>
    <row r="97" spans="1:3" ht="15.75">
      <c r="A97" t="s">
        <v>120</v>
      </c>
      <c r="B97" s="4">
        <f>164.13</f>
        <v>164.13</v>
      </c>
      <c r="C97" s="3">
        <v>399.99999999999989</v>
      </c>
    </row>
    <row r="98" spans="1:3" ht="15.75">
      <c r="A98" t="s">
        <v>121</v>
      </c>
      <c r="B98" s="4">
        <f>2800</f>
        <v>2800</v>
      </c>
      <c r="C98" s="3">
        <v>2799.9999999999995</v>
      </c>
    </row>
    <row r="99" spans="1:3" ht="15.75">
      <c r="A99" t="s">
        <v>122</v>
      </c>
      <c r="B99" s="4">
        <f>13429.1</f>
        <v>13429.1</v>
      </c>
      <c r="C99" s="3">
        <v>14000</v>
      </c>
    </row>
    <row r="100" spans="1:3" ht="15.75">
      <c r="A100" t="s">
        <v>123</v>
      </c>
      <c r="B100" s="4">
        <f>2185</f>
        <v>2185</v>
      </c>
      <c r="C100" s="3">
        <v>2499.9999999999995</v>
      </c>
    </row>
    <row r="101" spans="1:3" ht="16.5">
      <c r="A101" t="s">
        <v>124</v>
      </c>
      <c r="B101" s="6" t="s">
        <v>46</v>
      </c>
      <c r="C101" s="3"/>
    </row>
    <row r="102" spans="1:3" ht="16.5">
      <c r="A102" t="s">
        <v>125</v>
      </c>
      <c r="B102" s="6" t="s">
        <v>46</v>
      </c>
      <c r="C102" s="3"/>
    </row>
    <row r="103" spans="1:3" ht="15.75">
      <c r="A103" t="s">
        <v>126</v>
      </c>
      <c r="B103" s="6"/>
      <c r="C103" s="3"/>
    </row>
    <row r="104" spans="1:3" ht="16.5">
      <c r="A104" t="s">
        <v>127</v>
      </c>
      <c r="B104" s="6" t="s">
        <v>46</v>
      </c>
      <c r="C104" s="3"/>
    </row>
    <row r="105" spans="1:3" ht="15.75">
      <c r="A105" t="s">
        <v>128</v>
      </c>
      <c r="B105" s="4">
        <f>5900</f>
        <v>5900</v>
      </c>
      <c r="C105" s="3">
        <v>5900</v>
      </c>
    </row>
    <row r="106" spans="1:3" ht="15.75">
      <c r="A106" t="s">
        <v>129</v>
      </c>
      <c r="B106" s="6">
        <v>163701.95000000001</v>
      </c>
      <c r="C106" s="3">
        <f>SUM(C29:C105)</f>
        <v>181251</v>
      </c>
    </row>
    <row r="107" spans="1:3" ht="15.75">
      <c r="B107" s="1"/>
    </row>
    <row r="108" spans="1:3" ht="15.75"/>
    <row r="109" spans="1:3" ht="15.75"/>
    <row r="110" spans="1:3" ht="15.75"/>
    <row r="111" spans="1:3" ht="15.75"/>
    <row r="112" spans="1:3" ht="15.75"/>
    <row r="113" ht="15.75"/>
    <row r="114" ht="15.75"/>
    <row r="115" ht="15.75"/>
    <row r="116" ht="15.75"/>
    <row r="117" ht="15.75"/>
    <row r="118" ht="15.75"/>
    <row r="119" ht="15.75"/>
    <row r="120" ht="15.75"/>
    <row r="121" ht="15.75"/>
    <row r="122" ht="15.75"/>
    <row r="123" ht="15.75"/>
    <row r="124" ht="15.75"/>
    <row r="125" ht="15.75"/>
    <row r="126" ht="15.75"/>
    <row r="127" ht="15.75"/>
    <row r="128" ht="15.75"/>
    <row r="129" ht="15.75"/>
    <row r="130" ht="15.75"/>
    <row r="131" ht="15.75"/>
    <row r="132" ht="15.75"/>
    <row r="133" ht="15.75"/>
    <row r="134" ht="15.75"/>
    <row r="135" ht="15.75"/>
    <row r="136" ht="15.75"/>
    <row r="137" ht="15.75"/>
    <row r="138" ht="15.75"/>
    <row r="139" ht="15.75"/>
    <row r="140" ht="15.75"/>
    <row r="141" ht="15.75"/>
    <row r="142" ht="15.75"/>
    <row r="143" ht="15.75"/>
  </sheetData>
  <pageMargins left="0" right="0" top="0" bottom="0" header="0" footer="0"/>
  <ignoredErrors>
    <ignoredError sqref="C1 C3:C27 A2 A3:A27 C28 A28 C32:C38 A31:A106 C40:C41 A29:A30 C29:C30 C42:C10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2026-01-12T16:56:30Z</dcterms:created>
  <dcterms:modified xsi:type="dcterms:W3CDTF">2026-01-12T16:56:30Z</dcterms:modified>
  <cp:category/>
  <cp:contentStatus/>
</cp:coreProperties>
</file>